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31" windowWidth="1845" windowHeight="8910" tabRatio="667" activeTab="1"/>
  </bookViews>
  <sheets>
    <sheet name="CALCULOS" sheetId="1" r:id="rId1"/>
    <sheet name="DATOS" sheetId="2" r:id="rId2"/>
  </sheets>
  <definedNames>
    <definedName name="_xlnm._FilterDatabase" localSheetId="0" hidden="1">'CALCULOS'!$A$8:$AA$10</definedName>
    <definedName name="_xlnm.Print_Area" localSheetId="0">'CALCULOS'!$A$4:$AA$9</definedName>
    <definedName name="_xlnm.Print_Area" localSheetId="1">'DATOS'!$A$1:$D$35</definedName>
    <definedName name="OLE_LINK1" localSheetId="1">'DATOS'!$B$37</definedName>
  </definedNames>
  <calcPr fullCalcOnLoad="1"/>
</workbook>
</file>

<file path=xl/comments1.xml><?xml version="1.0" encoding="utf-8"?>
<comments xmlns="http://schemas.openxmlformats.org/spreadsheetml/2006/main">
  <authors>
    <author>miguel</author>
  </authors>
  <commentList>
    <comment ref="E8" authorId="0">
      <text>
        <r>
          <rPr>
            <b/>
            <sz val="8"/>
            <rFont val="Tahoma"/>
            <family val="2"/>
          </rPr>
          <t>miguel:</t>
        </r>
        <r>
          <rPr>
            <sz val="8"/>
            <rFont val="Tahoma"/>
            <family val="2"/>
          </rPr>
          <t xml:space="preserve">
SUMA DE MES MAS PRORRATA</t>
        </r>
      </text>
    </comment>
  </commentList>
</comments>
</file>

<file path=xl/comments2.xml><?xml version="1.0" encoding="utf-8"?>
<comments xmlns="http://schemas.openxmlformats.org/spreadsheetml/2006/main">
  <authors>
    <author>miguel</author>
  </authors>
  <commentList>
    <comment ref="C10" authorId="0">
      <text>
        <r>
          <rPr>
            <sz val="8"/>
            <rFont val="Tahoma"/>
            <family val="2"/>
          </rPr>
          <t xml:space="preserve">Introduzca la fecha de antigüedad.
</t>
        </r>
      </text>
    </comment>
    <comment ref="C11" authorId="0">
      <text>
        <r>
          <rPr>
            <sz val="8"/>
            <rFont val="Tahoma"/>
            <family val="2"/>
          </rPr>
          <t>Indicar la fecha de despido,</t>
        </r>
      </text>
    </comment>
    <comment ref="C12" authorId="0">
      <text>
        <r>
          <rPr>
            <sz val="8"/>
            <rFont val="Tahoma"/>
            <family val="2"/>
          </rPr>
          <t>El salario bruto mensual hace referencia a la totalidad del salario mensual o total devengado.</t>
        </r>
      </text>
    </comment>
    <comment ref="C13" authorId="0">
      <text>
        <r>
          <rPr>
            <sz val="8"/>
            <rFont val="Tahoma"/>
            <family val="2"/>
          </rPr>
          <t>El salario paga extra hace referencia al importe bruto de la paga extra.</t>
        </r>
      </text>
    </comment>
    <comment ref="C14" authorId="0">
      <text>
        <r>
          <rPr>
            <sz val="8"/>
            <rFont val="Tahoma"/>
            <family val="2"/>
          </rPr>
          <t>Informe del número de pagas extras</t>
        </r>
      </text>
    </comment>
    <comment ref="C15" authorId="0">
      <text>
        <r>
          <rPr>
            <sz val="8"/>
            <rFont val="Tahoma"/>
            <family val="2"/>
          </rPr>
          <t>Informe la suma del salario variable que ha cobrado durante los 12 últimos meses. (Horas extras, objetivos, comisiones, incentivos)</t>
        </r>
      </text>
    </comment>
    <comment ref="C16" authorId="0">
      <text>
        <r>
          <rPr>
            <sz val="8"/>
            <rFont val="Tahoma"/>
            <family val="2"/>
          </rPr>
          <t>Ponga M si la nomina es por meses (30 días) o D si la nómina varía en función del número de días naturales del mes. (Este dato varía muy poco el cálculo, por lo que si no lo sabe, ponga el quiera)</t>
        </r>
      </text>
    </comment>
    <comment ref="C32" authorId="0">
      <text>
        <r>
          <rPr>
            <sz val="8"/>
            <rFont val="Tahoma"/>
            <family val="2"/>
          </rPr>
          <t>Indique el nº de días que quiere ofrecer,</t>
        </r>
      </text>
    </comment>
    <comment ref="C33" authorId="0">
      <text>
        <r>
          <rPr>
            <sz val="8"/>
            <rFont val="Tahoma"/>
            <family val="2"/>
          </rPr>
          <t>Introduzca el tope de mensualidades.</t>
        </r>
      </text>
    </comment>
  </commentList>
</comments>
</file>

<file path=xl/sharedStrings.xml><?xml version="1.0" encoding="utf-8"?>
<sst xmlns="http://schemas.openxmlformats.org/spreadsheetml/2006/main" count="62" uniqueCount="53">
  <si>
    <t>DIAS</t>
  </si>
  <si>
    <t>ANTIGUO</t>
  </si>
  <si>
    <t>MESES</t>
  </si>
  <si>
    <t>INDEMNIZACION</t>
  </si>
  <si>
    <t>M/D</t>
  </si>
  <si>
    <t>BRUTO MES</t>
  </si>
  <si>
    <t>PPP.EXTRA</t>
  </si>
  <si>
    <t>SS.EMPRESA</t>
  </si>
  <si>
    <t>CONTRATO</t>
  </si>
  <si>
    <t>BASE COT</t>
  </si>
  <si>
    <t>VACACIONES</t>
  </si>
  <si>
    <t>S. ANUAL</t>
  </si>
  <si>
    <t>VARIABLE</t>
  </si>
  <si>
    <t>SALARIO ANUAL</t>
  </si>
  <si>
    <t>SALARIO DIA</t>
  </si>
  <si>
    <t>TOPE MESES</t>
  </si>
  <si>
    <t>FECHA EFECTOS</t>
  </si>
  <si>
    <t>COSTE ANUAL</t>
  </si>
  <si>
    <t>EMPRESA</t>
  </si>
  <si>
    <t>INDEM 45</t>
  </si>
  <si>
    <t>INDEM 33</t>
  </si>
  <si>
    <t>TOTAL</t>
  </si>
  <si>
    <t>INDEMNIZACIÓN DESPIDO IMPROCEDENTE</t>
  </si>
  <si>
    <t>TOPE</t>
  </si>
  <si>
    <t>TOPE 45</t>
  </si>
  <si>
    <t>TOPE 33</t>
  </si>
  <si>
    <t>MESES 45</t>
  </si>
  <si>
    <t>MESES 33</t>
  </si>
  <si>
    <t>TOTAL TOPADO</t>
  </si>
  <si>
    <t>CALCULO DE INDEMNIZACIONES POR DESPIDO</t>
  </si>
  <si>
    <t>TRABAJADOR</t>
  </si>
  <si>
    <t>ANTIGÜEDAD DEL TRABAJADOR</t>
  </si>
  <si>
    <t>FECHA DE DESPIDO</t>
  </si>
  <si>
    <t>SALARIO BRUTO MES</t>
  </si>
  <si>
    <t>SALARIO PAGA EXTRA</t>
  </si>
  <si>
    <t>Nº DE PAGAS EXTRAS</t>
  </si>
  <si>
    <t>VARIABLES 12 MESES ANTERIORES</t>
  </si>
  <si>
    <t>AÑOS DE</t>
  </si>
  <si>
    <t>TRABAJADOR MENSUAL O DIARIO (M/D)</t>
  </si>
  <si>
    <t>DIAS OFRECIDOS</t>
  </si>
  <si>
    <t>TOPE MENSUALIDADES OFRECIDO</t>
  </si>
  <si>
    <t>TOTAL OFRECIDO</t>
  </si>
  <si>
    <t>CÁLCULO</t>
  </si>
  <si>
    <t>NEGOCIACIÓN</t>
  </si>
  <si>
    <t>TOTAL 33</t>
  </si>
  <si>
    <t>d</t>
  </si>
  <si>
    <t>EMPRESAS MENOS DE 25 TRABAJADORES</t>
  </si>
  <si>
    <t>limite dia fogasa</t>
  </si>
  <si>
    <t>INDEMNIZACIÓN DESPIDO CAUSAS ECONÓMICAS</t>
  </si>
  <si>
    <t>INDEMNIZACIÓN MÁXIMA RECLAMACION FOGASA (AÑO 2013)</t>
  </si>
  <si>
    <t>INDEMNIZACIÓN ART. 41 ET. MODIF. SUSTANCIAL</t>
  </si>
  <si>
    <t>INDEMNIZACIÓN A CARGO DE LA EMPRESA 12 DIAS</t>
  </si>
  <si>
    <t>INDEMNIZACIÓN A CARGO FOGASA 8 DIAS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</si>
</sst>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0.00;\-#,###,##0.00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i/>
      <sz val="12"/>
      <color indexed="62"/>
      <name val="Calibri"/>
      <family val="2"/>
    </font>
    <font>
      <b/>
      <sz val="14"/>
      <color indexed="18"/>
      <name val="Calibri"/>
      <family val="2"/>
    </font>
    <font>
      <i/>
      <sz val="11"/>
      <color indexed="62"/>
      <name val="Calibri"/>
      <family val="2"/>
    </font>
    <font>
      <b/>
      <sz val="14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4" tint="-0.4999699890613556"/>
      <name val="Calibri"/>
      <family val="2"/>
    </font>
    <font>
      <i/>
      <sz val="11"/>
      <color theme="4" tint="-0.24997000396251678"/>
      <name val="Calibri"/>
      <family val="2"/>
    </font>
    <font>
      <b/>
      <sz val="14"/>
      <color theme="4" tint="-0.24997000396251678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64" fontId="22" fillId="0" borderId="17" xfId="51" applyNumberFormat="1" applyFont="1" applyFill="1" applyBorder="1" applyAlignment="1">
      <alignment/>
      <protection/>
    </xf>
    <xf numFmtId="4" fontId="22" fillId="0" borderId="1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14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14" fontId="22" fillId="27" borderId="17" xfId="0" applyNumberFormat="1" applyFont="1" applyFill="1" applyBorder="1" applyAlignment="1">
      <alignment/>
    </xf>
    <xf numFmtId="0" fontId="22" fillId="27" borderId="17" xfId="0" applyFont="1" applyFill="1" applyBorder="1" applyAlignment="1">
      <alignment/>
    </xf>
    <xf numFmtId="164" fontId="22" fillId="27" borderId="17" xfId="0" applyNumberFormat="1" applyFont="1" applyFill="1" applyBorder="1" applyAlignment="1">
      <alignment/>
    </xf>
    <xf numFmtId="4" fontId="22" fillId="27" borderId="17" xfId="51" applyNumberFormat="1" applyFont="1" applyFill="1" applyBorder="1" applyAlignment="1">
      <alignment/>
      <protection/>
    </xf>
    <xf numFmtId="164" fontId="22" fillId="27" borderId="17" xfId="51" applyNumberFormat="1" applyFont="1" applyFill="1" applyBorder="1" applyAlignment="1">
      <alignment/>
      <protection/>
    </xf>
    <xf numFmtId="4" fontId="22" fillId="27" borderId="17" xfId="0" applyNumberFormat="1" applyFont="1" applyFill="1" applyBorder="1" applyAlignment="1">
      <alignment/>
    </xf>
    <xf numFmtId="0" fontId="0" fillId="27" borderId="18" xfId="0" applyFont="1" applyFill="1" applyBorder="1" applyAlignment="1">
      <alignment/>
    </xf>
    <xf numFmtId="14" fontId="0" fillId="27" borderId="19" xfId="0" applyNumberFormat="1" applyFont="1" applyFill="1" applyBorder="1" applyAlignment="1">
      <alignment/>
    </xf>
    <xf numFmtId="16" fontId="0" fillId="34" borderId="19" xfId="0" applyNumberFormat="1" applyFont="1" applyFill="1" applyBorder="1" applyAlignment="1" quotePrefix="1">
      <alignment horizontal="center"/>
    </xf>
    <xf numFmtId="16" fontId="0" fillId="34" borderId="20" xfId="0" applyNumberFormat="1" applyFont="1" applyFill="1" applyBorder="1" applyAlignment="1" quotePrefix="1">
      <alignment horizontal="center"/>
    </xf>
    <xf numFmtId="2" fontId="0" fillId="34" borderId="11" xfId="0" applyNumberFormat="1" applyFont="1" applyFill="1" applyBorder="1" applyAlignment="1" quotePrefix="1">
      <alignment horizontal="center"/>
    </xf>
    <xf numFmtId="16" fontId="0" fillId="34" borderId="0" xfId="0" applyNumberFormat="1" applyFont="1" applyFill="1" applyBorder="1" applyAlignment="1">
      <alignment horizontal="center"/>
    </xf>
    <xf numFmtId="2" fontId="0" fillId="34" borderId="20" xfId="0" applyNumberFormat="1" applyFont="1" applyFill="1" applyBorder="1" applyAlignment="1" quotePrefix="1">
      <alignment horizontal="center"/>
    </xf>
    <xf numFmtId="14" fontId="0" fillId="34" borderId="11" xfId="0" applyNumberFormat="1" applyFont="1" applyFill="1" applyBorder="1" applyAlignment="1" quotePrefix="1">
      <alignment horizontal="center"/>
    </xf>
    <xf numFmtId="16" fontId="0" fillId="34" borderId="21" xfId="0" applyNumberFormat="1" applyFont="1" applyFill="1" applyBorder="1" applyAlignment="1" quotePrefix="1">
      <alignment horizontal="center"/>
    </xf>
    <xf numFmtId="16" fontId="0" fillId="34" borderId="22" xfId="0" applyNumberFormat="1" applyFont="1" applyFill="1" applyBorder="1" applyAlignment="1" quotePrefix="1">
      <alignment horizontal="center"/>
    </xf>
    <xf numFmtId="4" fontId="23" fillId="0" borderId="17" xfId="0" applyNumberFormat="1" applyFont="1" applyFill="1" applyBorder="1" applyAlignment="1">
      <alignment/>
    </xf>
    <xf numFmtId="4" fontId="22" fillId="35" borderId="17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3"/>
    </xf>
    <xf numFmtId="14" fontId="50" fillId="2" borderId="0" xfId="0" applyNumberFormat="1" applyFont="1" applyFill="1" applyAlignment="1">
      <alignment/>
    </xf>
    <xf numFmtId="4" fontId="50" fillId="2" borderId="0" xfId="0" applyNumberFormat="1" applyFont="1" applyFill="1" applyAlignment="1">
      <alignment/>
    </xf>
    <xf numFmtId="4" fontId="50" fillId="2" borderId="0" xfId="0" applyNumberFormat="1" applyFont="1" applyFill="1" applyAlignment="1">
      <alignment horizontal="right"/>
    </xf>
    <xf numFmtId="4" fontId="49" fillId="0" borderId="0" xfId="0" applyNumberFormat="1" applyFont="1" applyFill="1" applyAlignment="1">
      <alignment/>
    </xf>
    <xf numFmtId="0" fontId="50" fillId="0" borderId="0" xfId="0" applyFont="1" applyAlignment="1">
      <alignment horizontal="left"/>
    </xf>
    <xf numFmtId="0" fontId="50" fillId="2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10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1" fontId="22" fillId="0" borderId="17" xfId="0" applyNumberFormat="1" applyFont="1" applyFill="1" applyBorder="1" applyAlignment="1">
      <alignment/>
    </xf>
    <xf numFmtId="0" fontId="49" fillId="2" borderId="0" xfId="0" applyFont="1" applyFill="1" applyAlignment="1">
      <alignment horizontal="right"/>
    </xf>
    <xf numFmtId="0" fontId="53" fillId="2" borderId="0" xfId="0" applyFont="1" applyFill="1" applyAlignment="1">
      <alignment horizontal="right"/>
    </xf>
    <xf numFmtId="4" fontId="49" fillId="36" borderId="0" xfId="0" applyNumberFormat="1" applyFont="1" applyFill="1" applyAlignment="1">
      <alignment/>
    </xf>
    <xf numFmtId="4" fontId="49" fillId="37" borderId="0" xfId="0" applyNumberFormat="1" applyFont="1" applyFill="1" applyAlignment="1">
      <alignment/>
    </xf>
    <xf numFmtId="4" fontId="54" fillId="9" borderId="12" xfId="0" applyNumberFormat="1" applyFont="1" applyFill="1" applyBorder="1" applyAlignment="1">
      <alignment/>
    </xf>
    <xf numFmtId="4" fontId="50" fillId="9" borderId="23" xfId="0" applyNumberFormat="1" applyFont="1" applyFill="1" applyBorder="1" applyAlignment="1">
      <alignment/>
    </xf>
    <xf numFmtId="0" fontId="49" fillId="9" borderId="24" xfId="0" applyFont="1" applyFill="1" applyBorder="1" applyAlignment="1">
      <alignment/>
    </xf>
    <xf numFmtId="4" fontId="49" fillId="9" borderId="25" xfId="0" applyNumberFormat="1" applyFont="1" applyFill="1" applyBorder="1" applyAlignment="1">
      <alignment/>
    </xf>
    <xf numFmtId="0" fontId="49" fillId="9" borderId="26" xfId="0" applyFont="1" applyFill="1" applyBorder="1" applyAlignment="1">
      <alignment/>
    </xf>
    <xf numFmtId="4" fontId="49" fillId="9" borderId="22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4" fontId="49" fillId="38" borderId="0" xfId="0" applyNumberFormat="1" applyFont="1" applyFill="1" applyAlignment="1">
      <alignment/>
    </xf>
    <xf numFmtId="16" fontId="0" fillId="34" borderId="11" xfId="0" applyNumberFormat="1" applyFont="1" applyFill="1" applyBorder="1" applyAlignment="1" quotePrefix="1">
      <alignment horizontal="center"/>
    </xf>
    <xf numFmtId="16" fontId="0" fillId="34" borderId="20" xfId="0" applyNumberFormat="1" applyFon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76200</xdr:rowOff>
    </xdr:from>
    <xdr:to>
      <xdr:col>1</xdr:col>
      <xdr:colOff>981075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133350</xdr:rowOff>
    </xdr:from>
    <xdr:to>
      <xdr:col>3</xdr:col>
      <xdr:colOff>152400</xdr:colOff>
      <xdr:row>34</xdr:row>
      <xdr:rowOff>133350</xdr:rowOff>
    </xdr:to>
    <xdr:grpSp>
      <xdr:nvGrpSpPr>
        <xdr:cNvPr id="2" name="5 Grupo"/>
        <xdr:cNvGrpSpPr>
          <a:grpSpLocks/>
        </xdr:cNvGrpSpPr>
      </xdr:nvGrpSpPr>
      <xdr:grpSpPr>
        <a:xfrm>
          <a:off x="266700" y="133350"/>
          <a:ext cx="6019800" cy="6200775"/>
          <a:chOff x="266700" y="133350"/>
          <a:chExt cx="4953000" cy="4819650"/>
        </a:xfrm>
        <a:solidFill>
          <a:srgbClr val="FFFFFF"/>
        </a:solidFill>
      </xdr:grpSpPr>
      <xdr:sp>
        <xdr:nvSpPr>
          <xdr:cNvPr id="3" name="1 Rectángulo redondeado"/>
          <xdr:cNvSpPr>
            <a:spLocks/>
          </xdr:cNvSpPr>
        </xdr:nvSpPr>
        <xdr:spPr>
          <a:xfrm>
            <a:off x="266700" y="133350"/>
            <a:ext cx="4945571" cy="621735"/>
          </a:xfrm>
          <a:prstGeom prst="roundRect">
            <a:avLst/>
          </a:prstGeom>
          <a:solidFill>
            <a:srgbClr val="4F81BD">
              <a:alpha val="25000"/>
            </a:srgbClr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2 Rectángulo redondeado"/>
          <xdr:cNvSpPr>
            <a:spLocks/>
          </xdr:cNvSpPr>
        </xdr:nvSpPr>
        <xdr:spPr>
          <a:xfrm>
            <a:off x="274130" y="806896"/>
            <a:ext cx="4945571" cy="2917093"/>
          </a:xfrm>
          <a:prstGeom prst="roundRect">
            <a:avLst/>
          </a:pr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3 Rectángulo redondeado"/>
          <xdr:cNvSpPr>
            <a:spLocks/>
          </xdr:cNvSpPr>
        </xdr:nvSpPr>
        <xdr:spPr>
          <a:xfrm>
            <a:off x="266700" y="3775800"/>
            <a:ext cx="4945571" cy="1177200"/>
          </a:xfrm>
          <a:prstGeom prst="roundRect">
            <a:avLst/>
          </a:prstGeom>
          <a:noFill/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1352550</xdr:colOff>
      <xdr:row>50</xdr:row>
      <xdr:rowOff>38100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86550"/>
          <a:ext cx="54006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R14"/>
  <sheetViews>
    <sheetView zoomScale="70" zoomScaleNormal="70" zoomScalePageLayoutView="0" workbookViewId="0" topLeftCell="P1">
      <selection activeCell="AF8" sqref="AF8"/>
    </sheetView>
  </sheetViews>
  <sheetFormatPr defaultColWidth="11.421875" defaultRowHeight="12.75"/>
  <cols>
    <col min="1" max="1" width="53.00390625" style="0" customWidth="1"/>
    <col min="2" max="2" width="41.8515625" style="0" bestFit="1" customWidth="1"/>
    <col min="3" max="3" width="15.00390625" style="0" bestFit="1" customWidth="1"/>
    <col min="4" max="4" width="10.421875" style="0" customWidth="1"/>
    <col min="5" max="5" width="12.57421875" style="3" customWidth="1"/>
    <col min="6" max="7" width="12.7109375" style="3" customWidth="1"/>
    <col min="8" max="8" width="17.00390625" style="3" customWidth="1"/>
    <col min="9" max="9" width="18.57421875" style="3" customWidth="1"/>
    <col min="10" max="10" width="19.7109375" style="3" bestFit="1" customWidth="1"/>
    <col min="11" max="11" width="19.7109375" style="3" customWidth="1"/>
    <col min="12" max="12" width="12.7109375" style="3" customWidth="1"/>
    <col min="13" max="13" width="9.57421875" style="3" bestFit="1" customWidth="1"/>
    <col min="14" max="14" width="13.7109375" style="3" customWidth="1"/>
    <col min="15" max="15" width="18.57421875" style="3" customWidth="1"/>
    <col min="16" max="16" width="18.28125" style="3" customWidth="1"/>
    <col min="17" max="17" width="13.421875" style="3" customWidth="1"/>
    <col min="18" max="18" width="14.140625" style="3" customWidth="1"/>
    <col min="19" max="27" width="15.57421875" style="3" customWidth="1"/>
    <col min="28" max="28" width="15.140625" style="2" customWidth="1"/>
    <col min="29" max="29" width="13.8515625" style="2" customWidth="1"/>
    <col min="30" max="30" width="20.140625" style="2" customWidth="1"/>
    <col min="31" max="32" width="11.421875" style="2" customWidth="1"/>
    <col min="33" max="33" width="12.8515625" style="2" bestFit="1" customWidth="1"/>
    <col min="34" max="70" width="11.421875" style="2" customWidth="1"/>
  </cols>
  <sheetData>
    <row r="1" spans="1:27" ht="13.5" thickBot="1">
      <c r="A1" s="1" t="s">
        <v>29</v>
      </c>
      <c r="AA1" s="75">
        <f>L2/12</f>
        <v>1.6666666666666667</v>
      </c>
    </row>
    <row r="2" spans="1:18" ht="13.5" thickBot="1">
      <c r="A2" s="1"/>
      <c r="K2" s="6" t="s">
        <v>0</v>
      </c>
      <c r="L2" s="34">
        <v>20</v>
      </c>
      <c r="P2" s="3" t="s">
        <v>47</v>
      </c>
      <c r="Q2" s="3">
        <v>50.09</v>
      </c>
      <c r="R2" s="3">
        <v>2013</v>
      </c>
    </row>
    <row r="3" spans="1:30" ht="13.5" thickBot="1">
      <c r="A3" s="1" t="s">
        <v>18</v>
      </c>
      <c r="K3" s="7" t="s">
        <v>15</v>
      </c>
      <c r="L3" s="34">
        <v>12</v>
      </c>
      <c r="AD3" s="5"/>
    </row>
    <row r="4" spans="1:11" ht="13.5" thickBot="1">
      <c r="A4" s="1" t="s">
        <v>30</v>
      </c>
      <c r="J4" s="6" t="s">
        <v>16</v>
      </c>
      <c r="K4" s="35">
        <f>DATOS!C11</f>
        <v>41407</v>
      </c>
    </row>
    <row r="5" spans="1:19" ht="13.5" thickBot="1">
      <c r="A5" s="1" t="s">
        <v>31</v>
      </c>
      <c r="B5" s="46"/>
      <c r="R5" s="3" t="s">
        <v>0</v>
      </c>
      <c r="S5" s="3" t="s">
        <v>23</v>
      </c>
    </row>
    <row r="6" spans="1:30" ht="13.5" thickBot="1">
      <c r="A6" s="1" t="s">
        <v>32</v>
      </c>
      <c r="B6" s="46"/>
      <c r="R6" s="38">
        <f>L2</f>
        <v>20</v>
      </c>
      <c r="S6" s="40">
        <f>L3</f>
        <v>12</v>
      </c>
      <c r="T6" s="77" t="s">
        <v>22</v>
      </c>
      <c r="U6" s="78"/>
      <c r="V6" s="78"/>
      <c r="W6" s="78"/>
      <c r="X6" s="78"/>
      <c r="Y6" s="78"/>
      <c r="Z6" s="78"/>
      <c r="AA6" s="78"/>
      <c r="AB6" s="37"/>
      <c r="AC6" s="37"/>
      <c r="AD6" s="36"/>
    </row>
    <row r="7" spans="1:32" ht="13.5" thickBot="1">
      <c r="A7" s="1"/>
      <c r="B7" s="1"/>
      <c r="R7" s="39"/>
      <c r="S7" s="39"/>
      <c r="T7" s="41">
        <v>40950</v>
      </c>
      <c r="U7" s="42"/>
      <c r="V7" s="42"/>
      <c r="W7" s="42"/>
      <c r="X7" s="42"/>
      <c r="Y7" s="42"/>
      <c r="Z7" s="42"/>
      <c r="AA7" s="42"/>
      <c r="AB7" s="42"/>
      <c r="AC7" s="42"/>
      <c r="AD7" s="43"/>
      <c r="AE7" s="2">
        <f>DATOS!C32</f>
        <v>20</v>
      </c>
      <c r="AF7" s="2">
        <f>DATOS!C33*30.41666</f>
        <v>364.99992</v>
      </c>
    </row>
    <row r="8" spans="1:30" ht="15.75">
      <c r="A8" s="8"/>
      <c r="B8" s="9"/>
      <c r="C8" s="10" t="s">
        <v>1</v>
      </c>
      <c r="D8" s="12" t="s">
        <v>8</v>
      </c>
      <c r="E8" s="8" t="s">
        <v>5</v>
      </c>
      <c r="F8" s="9" t="s">
        <v>6</v>
      </c>
      <c r="G8" s="9" t="s">
        <v>10</v>
      </c>
      <c r="H8" s="9" t="s">
        <v>12</v>
      </c>
      <c r="I8" s="9" t="s">
        <v>11</v>
      </c>
      <c r="J8" s="8" t="s">
        <v>7</v>
      </c>
      <c r="K8" s="8" t="s">
        <v>17</v>
      </c>
      <c r="L8" s="9" t="s">
        <v>9</v>
      </c>
      <c r="M8" s="13" t="s">
        <v>4</v>
      </c>
      <c r="N8" s="11" t="s">
        <v>37</v>
      </c>
      <c r="O8" s="11" t="s">
        <v>13</v>
      </c>
      <c r="P8" s="10" t="s">
        <v>14</v>
      </c>
      <c r="Q8" s="13" t="s">
        <v>2</v>
      </c>
      <c r="R8" s="14" t="s">
        <v>0</v>
      </c>
      <c r="S8" s="4" t="s">
        <v>3</v>
      </c>
      <c r="T8" s="14" t="s">
        <v>26</v>
      </c>
      <c r="U8" s="14" t="s">
        <v>27</v>
      </c>
      <c r="V8" s="14" t="s">
        <v>44</v>
      </c>
      <c r="W8" s="14"/>
      <c r="X8" s="14"/>
      <c r="Y8" s="14" t="s">
        <v>19</v>
      </c>
      <c r="Z8" s="14" t="s">
        <v>20</v>
      </c>
      <c r="AA8" s="14" t="s">
        <v>21</v>
      </c>
      <c r="AB8" s="44" t="s">
        <v>24</v>
      </c>
      <c r="AC8" s="44" t="s">
        <v>25</v>
      </c>
      <c r="AD8" s="44" t="s">
        <v>28</v>
      </c>
    </row>
    <row r="9" spans="1:70" s="20" customFormat="1" ht="15.75">
      <c r="A9" s="29"/>
      <c r="B9" s="29"/>
      <c r="C9" s="28">
        <f>DATOS!C10</f>
        <v>29356</v>
      </c>
      <c r="D9" s="29">
        <v>100</v>
      </c>
      <c r="E9" s="30">
        <f>DATOS!C12</f>
        <v>2470</v>
      </c>
      <c r="F9" s="30">
        <f>DATOS!C13*DATOS!C14/12</f>
        <v>617.5</v>
      </c>
      <c r="G9" s="31"/>
      <c r="H9" s="32">
        <f>DATOS!C15</f>
        <v>0</v>
      </c>
      <c r="I9" s="16">
        <f>((E9+F9)*12)+H9</f>
        <v>37050</v>
      </c>
      <c r="J9" s="33"/>
      <c r="K9" s="17">
        <f>I9+(J9*12)</f>
        <v>37050</v>
      </c>
      <c r="L9" s="30">
        <v>2500</v>
      </c>
      <c r="M9" s="18" t="str">
        <f>DATOS!C16</f>
        <v>d</v>
      </c>
      <c r="N9" s="15">
        <v>365</v>
      </c>
      <c r="O9" s="18">
        <f>I9</f>
        <v>37050</v>
      </c>
      <c r="P9" s="18">
        <f>IF(M9="M",O9/360,O9/365)</f>
        <v>101.5068493150685</v>
      </c>
      <c r="Q9" s="15">
        <f>diferenciameses(C9,$K$4)</f>
        <v>396</v>
      </c>
      <c r="R9" s="18">
        <f>IF($Q9*AA$1&gt;N9,N9,$Q9*AA$1)</f>
        <v>365</v>
      </c>
      <c r="S9" s="18">
        <f>P9*R9</f>
        <v>37050</v>
      </c>
      <c r="T9" s="62">
        <f>IF(C9&gt;$T$7,0,diferenciameses(C9,MIN($T$7,K4)))</f>
        <v>381</v>
      </c>
      <c r="U9" s="15">
        <f>diferenciameses(C9,$K$4)</f>
        <v>396</v>
      </c>
      <c r="V9" s="62">
        <f>IF((C9&gt;T7),diferenciameses($C$9,$K$4),diferenciameses($T$7,$K$4))</f>
        <v>16</v>
      </c>
      <c r="W9" s="62"/>
      <c r="X9" s="15"/>
      <c r="Y9" s="18">
        <f>T9*(45/12)*P9</f>
        <v>145027.9109589041</v>
      </c>
      <c r="Z9" s="18">
        <f>IF((V9*(33/12)*P9)&lt;0,0,(V9*(33/12)*P9))</f>
        <v>4466.301369863014</v>
      </c>
      <c r="AA9" s="45">
        <f>Y9+Z9</f>
        <v>149494.2123287671</v>
      </c>
      <c r="AB9" s="18">
        <f>IF(Y9&gt;(P9*1260),(P9*1260),Y9)</f>
        <v>127898.6301369863</v>
      </c>
      <c r="AC9" s="18">
        <f>IF(Z9&gt;(P9*720),P9*720,Z9)</f>
        <v>4466.301369863014</v>
      </c>
      <c r="AD9" s="45">
        <f>IF(AB9&gt;=(P9*720),AB9,AB9+AC9)</f>
        <v>127898.6301369863</v>
      </c>
      <c r="AE9" s="19">
        <f>(Q9/12)*AE7*P9</f>
        <v>66994.52054794521</v>
      </c>
      <c r="AF9" s="19">
        <f>P9*AF7</f>
        <v>37049.99187945205</v>
      </c>
      <c r="AG9" s="19">
        <f>IF(AF9&gt;AE9,AE9,AF9)</f>
        <v>37049.99187945205</v>
      </c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3:27" s="23" customFormat="1" ht="15.75">
      <c r="C10" s="25">
        <f>C9</f>
        <v>29356</v>
      </c>
      <c r="E10" s="26">
        <f aca="true" t="shared" si="0" ref="E10:H11">E9</f>
        <v>2470</v>
      </c>
      <c r="F10" s="30">
        <f t="shared" si="0"/>
        <v>617.5</v>
      </c>
      <c r="G10" s="31">
        <f t="shared" si="0"/>
        <v>0</v>
      </c>
      <c r="H10" s="32">
        <f t="shared" si="0"/>
        <v>0</v>
      </c>
      <c r="I10" s="16">
        <f>((E10+F10)*12)+H10</f>
        <v>37050</v>
      </c>
      <c r="J10" s="26"/>
      <c r="K10" s="26">
        <f>K9</f>
        <v>37050</v>
      </c>
      <c r="L10" s="26"/>
      <c r="M10" s="24" t="str">
        <f>M9</f>
        <v>d</v>
      </c>
      <c r="N10" s="23">
        <v>365</v>
      </c>
      <c r="O10" s="24">
        <f>O9</f>
        <v>37050</v>
      </c>
      <c r="P10" s="24">
        <f>IF(P9&gt;Q2,Q2,P9)</f>
        <v>50.09</v>
      </c>
      <c r="Q10" s="23">
        <f>Q9</f>
        <v>396</v>
      </c>
      <c r="R10" s="24">
        <f>R9</f>
        <v>365</v>
      </c>
      <c r="S10" s="24">
        <f>R10*P10</f>
        <v>18282.850000000002</v>
      </c>
      <c r="T10" s="24"/>
      <c r="U10" s="24"/>
      <c r="V10" s="24"/>
      <c r="W10" s="24"/>
      <c r="X10" s="24"/>
      <c r="Y10" s="24"/>
      <c r="Z10" s="24"/>
      <c r="AA10" s="24"/>
    </row>
    <row r="11" spans="3:19" s="23" customFormat="1" ht="15.75">
      <c r="C11" s="25">
        <f>C10</f>
        <v>29356</v>
      </c>
      <c r="E11" s="26">
        <f t="shared" si="0"/>
        <v>2470</v>
      </c>
      <c r="F11" s="30">
        <f t="shared" si="0"/>
        <v>617.5</v>
      </c>
      <c r="G11" s="31">
        <f t="shared" si="0"/>
        <v>0</v>
      </c>
      <c r="H11" s="32">
        <f t="shared" si="0"/>
        <v>0</v>
      </c>
      <c r="I11" s="16">
        <f>((E11+F11)*12)+H11</f>
        <v>37050</v>
      </c>
      <c r="K11" s="26">
        <f>K10</f>
        <v>37050</v>
      </c>
      <c r="M11" s="24" t="str">
        <f>M10</f>
        <v>d</v>
      </c>
      <c r="N11" s="23">
        <v>271</v>
      </c>
      <c r="O11" s="24">
        <f>O10</f>
        <v>37050</v>
      </c>
      <c r="P11" s="18">
        <f>IF(M11="M",O11/360,O11/365)</f>
        <v>101.5068493150685</v>
      </c>
      <c r="Q11" s="23">
        <f>Q10</f>
        <v>396</v>
      </c>
      <c r="R11" s="18">
        <f>IF($Q11*AA$1&gt;N11,N11,$Q11*AA$1)</f>
        <v>271</v>
      </c>
      <c r="S11" s="24">
        <f>R11*P11</f>
        <v>27508.35616438356</v>
      </c>
    </row>
    <row r="12" spans="5:70" s="21" customFormat="1" ht="15.75">
      <c r="E12" s="27">
        <f aca="true" t="shared" si="1" ref="E12:L12">SUBTOTAL(9,E9:E11)</f>
        <v>7410</v>
      </c>
      <c r="F12" s="27">
        <f t="shared" si="1"/>
        <v>1852.5</v>
      </c>
      <c r="G12" s="27">
        <f t="shared" si="1"/>
        <v>0</v>
      </c>
      <c r="H12" s="27">
        <f t="shared" si="1"/>
        <v>0</v>
      </c>
      <c r="I12" s="27">
        <f t="shared" si="1"/>
        <v>111150</v>
      </c>
      <c r="J12" s="27">
        <f t="shared" si="1"/>
        <v>0</v>
      </c>
      <c r="K12" s="27"/>
      <c r="L12" s="27">
        <f t="shared" si="1"/>
        <v>2500</v>
      </c>
      <c r="M12" s="27"/>
      <c r="N12" s="27"/>
      <c r="O12" s="27">
        <f>SUBTOTAL(9,O9:O11)</f>
        <v>111150</v>
      </c>
      <c r="P12" s="27"/>
      <c r="Q12" s="27">
        <f>SUBTOTAL(9,Q9:Q11)</f>
        <v>1188</v>
      </c>
      <c r="R12" s="27">
        <f>SUBTOTAL(9,R9:R11)</f>
        <v>1001</v>
      </c>
      <c r="S12" s="27">
        <f>SUBTOTAL(9,S9:S11)</f>
        <v>82841.20616438356</v>
      </c>
      <c r="T12" s="27"/>
      <c r="U12" s="27"/>
      <c r="V12" s="27"/>
      <c r="W12" s="27"/>
      <c r="X12" s="27"/>
      <c r="Y12" s="27"/>
      <c r="Z12" s="27"/>
      <c r="AA12" s="27"/>
      <c r="AB12" s="22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9:70" s="21" customFormat="1" ht="15.75">
      <c r="I13" s="27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ht="12.75">
      <c r="A14" s="2"/>
    </row>
  </sheetData>
  <sheetProtection/>
  <autoFilter ref="A8:AA10"/>
  <mergeCells count="1">
    <mergeCell ref="T6:AA6"/>
  </mergeCells>
  <printOptions gridLines="1"/>
  <pageMargins left="0.31496062992125984" right="0.1968503937007874" top="0.3937007874015748" bottom="0.1968503937007874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46"/>
  <sheetViews>
    <sheetView showGridLines="0" tabSelected="1" zoomScalePageLayoutView="0" workbookViewId="0" topLeftCell="A4">
      <selection activeCell="B26" sqref="B26"/>
    </sheetView>
  </sheetViews>
  <sheetFormatPr defaultColWidth="11.421875" defaultRowHeight="12.75"/>
  <cols>
    <col min="1" max="1" width="5.421875" style="0" customWidth="1"/>
    <col min="2" max="2" width="60.7109375" style="0" customWidth="1"/>
    <col min="3" max="3" width="25.8515625" style="0" customWidth="1"/>
  </cols>
  <sheetData>
    <row r="3" ht="18.75">
      <c r="B3" s="59" t="s">
        <v>29</v>
      </c>
    </row>
    <row r="4" ht="12.75">
      <c r="B4" s="1"/>
    </row>
    <row r="5" ht="12.75">
      <c r="B5" s="1"/>
    </row>
    <row r="6" ht="15.75">
      <c r="B6" s="58"/>
    </row>
    <row r="7" ht="15.75">
      <c r="B7" s="58" t="s">
        <v>42</v>
      </c>
    </row>
    <row r="8" spans="2:3" ht="15">
      <c r="B8" s="50" t="s">
        <v>18</v>
      </c>
      <c r="C8" s="63"/>
    </row>
    <row r="9" spans="2:3" ht="15">
      <c r="B9" s="50" t="s">
        <v>30</v>
      </c>
      <c r="C9" s="64"/>
    </row>
    <row r="10" spans="2:3" ht="15">
      <c r="B10" s="51" t="s">
        <v>31</v>
      </c>
      <c r="C10" s="52">
        <v>29356</v>
      </c>
    </row>
    <row r="11" spans="2:3" ht="15">
      <c r="B11" s="51" t="s">
        <v>32</v>
      </c>
      <c r="C11" s="52">
        <f ca="1">TODAY()</f>
        <v>41407</v>
      </c>
    </row>
    <row r="12" spans="2:3" ht="15">
      <c r="B12" s="51" t="s">
        <v>33</v>
      </c>
      <c r="C12" s="53">
        <v>2470</v>
      </c>
    </row>
    <row r="13" spans="2:3" ht="15">
      <c r="B13" s="51" t="s">
        <v>34</v>
      </c>
      <c r="C13" s="53">
        <v>2470</v>
      </c>
    </row>
    <row r="14" spans="2:3" ht="15">
      <c r="B14" s="51" t="s">
        <v>35</v>
      </c>
      <c r="C14" s="53">
        <v>3</v>
      </c>
    </row>
    <row r="15" spans="2:3" ht="15">
      <c r="B15" s="51" t="s">
        <v>36</v>
      </c>
      <c r="C15" s="53">
        <v>0</v>
      </c>
    </row>
    <row r="16" spans="2:3" ht="15" hidden="1">
      <c r="B16" s="51" t="s">
        <v>38</v>
      </c>
      <c r="C16" s="54" t="s">
        <v>45</v>
      </c>
    </row>
    <row r="17" spans="2:3" ht="15">
      <c r="B17" s="50" t="s">
        <v>13</v>
      </c>
      <c r="C17" s="55">
        <f>CALCULOS!I9</f>
        <v>37050</v>
      </c>
    </row>
    <row r="18" spans="2:3" ht="15">
      <c r="B18" s="50" t="s">
        <v>48</v>
      </c>
      <c r="C18" s="65">
        <f>CALCULOS!S9</f>
        <v>37050</v>
      </c>
    </row>
    <row r="19" spans="2:3" ht="15">
      <c r="B19" s="50" t="s">
        <v>50</v>
      </c>
      <c r="C19" s="76">
        <f>CALCULOS!S11</f>
        <v>27508.35616438356</v>
      </c>
    </row>
    <row r="20" spans="2:3" ht="15">
      <c r="B20" s="50" t="s">
        <v>22</v>
      </c>
      <c r="C20" s="66">
        <f>CALCULOS!AD9</f>
        <v>127898.6301369863</v>
      </c>
    </row>
    <row r="22" spans="2:3" ht="15.75" thickBot="1">
      <c r="B22" s="50" t="s">
        <v>49</v>
      </c>
      <c r="C22" s="55">
        <f>CALCULOS!S10</f>
        <v>18282.850000000002</v>
      </c>
    </row>
    <row r="23" spans="2:3" ht="18.75">
      <c r="B23" s="67" t="s">
        <v>46</v>
      </c>
      <c r="C23" s="68"/>
    </row>
    <row r="24" spans="2:3" ht="15">
      <c r="B24" s="69" t="s">
        <v>51</v>
      </c>
      <c r="C24" s="70">
        <f>C18-C25</f>
        <v>29736.86</v>
      </c>
    </row>
    <row r="25" spans="2:3" ht="15.75" thickBot="1">
      <c r="B25" s="71" t="s">
        <v>52</v>
      </c>
      <c r="C25" s="72">
        <f>C22/20*8</f>
        <v>7313.140000000001</v>
      </c>
    </row>
    <row r="26" spans="2:3" ht="15">
      <c r="B26" s="73"/>
      <c r="C26" s="74"/>
    </row>
    <row r="30" spans="2:3" ht="15.75">
      <c r="B30" s="58" t="s">
        <v>43</v>
      </c>
      <c r="C30" s="49"/>
    </row>
    <row r="31" spans="2:3" ht="15">
      <c r="B31" s="47"/>
      <c r="C31" s="48"/>
    </row>
    <row r="32" spans="2:3" ht="15">
      <c r="B32" s="56" t="s">
        <v>39</v>
      </c>
      <c r="C32" s="57">
        <v>20</v>
      </c>
    </row>
    <row r="33" spans="2:3" ht="15">
      <c r="B33" s="56" t="s">
        <v>40</v>
      </c>
      <c r="C33" s="57">
        <v>12</v>
      </c>
    </row>
    <row r="34" spans="2:3" ht="15">
      <c r="B34" s="50" t="s">
        <v>41</v>
      </c>
      <c r="C34" s="55">
        <f>CALCULOS!AG9</f>
        <v>37049.99187945205</v>
      </c>
    </row>
    <row r="38" ht="12.75">
      <c r="B38" s="60"/>
    </row>
    <row r="39" ht="12.75">
      <c r="B39" s="60"/>
    </row>
    <row r="40" ht="12.75">
      <c r="B40" s="60"/>
    </row>
    <row r="41" ht="12.75">
      <c r="B41" s="60"/>
    </row>
    <row r="42" ht="12.75">
      <c r="B42" s="60"/>
    </row>
    <row r="43" ht="12.75">
      <c r="B43" s="61"/>
    </row>
    <row r="44" ht="12.75">
      <c r="B44" s="61"/>
    </row>
    <row r="45" ht="12.75">
      <c r="B45" s="61"/>
    </row>
    <row r="46" ht="12.75">
      <c r="B46" s="60"/>
    </row>
  </sheetData>
  <sheetProtection/>
  <printOptions/>
  <pageMargins left="0.8661417322834646" right="0.4330708661417323" top="0.7480314960629921" bottom="0.7480314960629921" header="0.31496062992125984" footer="0.31496062992125984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cp:lastPrinted>2013-03-06T11:12:37Z</cp:lastPrinted>
  <dcterms:created xsi:type="dcterms:W3CDTF">2009-09-17T16:32:32Z</dcterms:created>
  <dcterms:modified xsi:type="dcterms:W3CDTF">2013-05-13T10:39:23Z</dcterms:modified>
  <cp:category/>
  <cp:version/>
  <cp:contentType/>
  <cp:contentStatus/>
</cp:coreProperties>
</file>